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ДОНИТ\Соревнования\2026\ПР Ульяновск 1-5 октября\"/>
    </mc:Choice>
  </mc:AlternateContent>
  <bookViews>
    <workbookView xWindow="0" yWindow="0" windowWidth="28800" windowHeight="13590"/>
  </bookViews>
  <sheets>
    <sheet name="результаты ПР Ульяновс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" i="1" l="1"/>
  <c r="R10" i="1" s="1"/>
  <c r="O10" i="1"/>
  <c r="N10" i="1"/>
  <c r="I10" i="1"/>
  <c r="J10" i="1" s="1"/>
  <c r="L10" i="1" s="1"/>
  <c r="H10" i="1"/>
  <c r="E10" i="1"/>
  <c r="D10" i="1"/>
  <c r="F10" i="1" s="1"/>
  <c r="O9" i="1"/>
  <c r="P9" i="1" s="1"/>
  <c r="R9" i="1" s="1"/>
  <c r="N9" i="1"/>
  <c r="J9" i="1"/>
  <c r="I9" i="1"/>
  <c r="H9" i="1"/>
  <c r="E9" i="1"/>
  <c r="D9" i="1"/>
  <c r="O8" i="1"/>
  <c r="Q8" i="1" s="1"/>
  <c r="N8" i="1"/>
  <c r="I8" i="1"/>
  <c r="K8" i="1" s="1"/>
  <c r="H8" i="1"/>
  <c r="E8" i="1"/>
  <c r="D8" i="1"/>
  <c r="O7" i="1"/>
  <c r="Q7" i="1" s="1"/>
  <c r="N7" i="1"/>
  <c r="J7" i="1"/>
  <c r="I7" i="1"/>
  <c r="H7" i="1"/>
  <c r="K7" i="1" s="1"/>
  <c r="E7" i="1"/>
  <c r="D7" i="1"/>
  <c r="O6" i="1"/>
  <c r="P6" i="1" s="1"/>
  <c r="R6" i="1" s="1"/>
  <c r="N6" i="1"/>
  <c r="I6" i="1"/>
  <c r="J6" i="1" s="1"/>
  <c r="H6" i="1"/>
  <c r="K6" i="1" s="1"/>
  <c r="E6" i="1"/>
  <c r="F6" i="1" s="1"/>
  <c r="D6" i="1"/>
  <c r="Q5" i="1"/>
  <c r="O5" i="1"/>
  <c r="P5" i="1" s="1"/>
  <c r="N5" i="1"/>
  <c r="I5" i="1"/>
  <c r="H5" i="1"/>
  <c r="E5" i="1"/>
  <c r="D5" i="1"/>
  <c r="O4" i="1"/>
  <c r="Q4" i="1" s="1"/>
  <c r="N4" i="1"/>
  <c r="I4" i="1"/>
  <c r="K4" i="1" s="1"/>
  <c r="H4" i="1"/>
  <c r="E4" i="1"/>
  <c r="D4" i="1"/>
  <c r="O3" i="1"/>
  <c r="P3" i="1" s="1"/>
  <c r="R3" i="1" s="1"/>
  <c r="N3" i="1"/>
  <c r="J3" i="1"/>
  <c r="L3" i="1" s="1"/>
  <c r="I3" i="1"/>
  <c r="H3" i="1"/>
  <c r="K3" i="1" s="1"/>
  <c r="E3" i="1"/>
  <c r="D3" i="1"/>
  <c r="F4" i="1" l="1"/>
  <c r="R4" i="1"/>
  <c r="F5" i="1"/>
  <c r="R5" i="1"/>
  <c r="Q6" i="1"/>
  <c r="F7" i="1"/>
  <c r="P8" i="1"/>
  <c r="R8" i="1" s="1"/>
  <c r="K9" i="1"/>
  <c r="Q9" i="1"/>
  <c r="Q10" i="1"/>
  <c r="F3" i="1"/>
  <c r="P4" i="1"/>
  <c r="K5" i="1"/>
  <c r="L6" i="1"/>
  <c r="F8" i="1"/>
  <c r="F9" i="1"/>
  <c r="K10" i="1"/>
  <c r="J5" i="1"/>
  <c r="L5" i="1" s="1"/>
  <c r="L7" i="1"/>
  <c r="L9" i="1"/>
  <c r="Q3" i="1"/>
  <c r="J4" i="1"/>
  <c r="L4" i="1" s="1"/>
  <c r="P7" i="1"/>
  <c r="R7" i="1" s="1"/>
  <c r="J8" i="1"/>
  <c r="L8" i="1" s="1"/>
</calcChain>
</file>

<file path=xl/sharedStrings.xml><?xml version="1.0" encoding="utf-8"?>
<sst xmlns="http://schemas.openxmlformats.org/spreadsheetml/2006/main" count="68" uniqueCount="31">
  <si>
    <t>эстафета 4 чел</t>
  </si>
  <si>
    <t>классика с общего старта</t>
  </si>
  <si>
    <t>спринт с общего старта</t>
  </si>
  <si>
    <t>время спортсмена, сек</t>
  </si>
  <si>
    <t>% от времени победителя</t>
  </si>
  <si>
    <t>примечание</t>
  </si>
  <si>
    <t>время победителя, секунды</t>
  </si>
  <si>
    <t>время в протоколе, сек</t>
  </si>
  <si>
    <t>время за вычетом гандикапа, с</t>
  </si>
  <si>
    <t>%  "чистое" время</t>
  </si>
  <si>
    <t>Ж14</t>
  </si>
  <si>
    <t>Соколова София</t>
  </si>
  <si>
    <t>время спортсмена за вычетом ожидания</t>
  </si>
  <si>
    <t>гандикап 1 минута</t>
  </si>
  <si>
    <t>М14</t>
  </si>
  <si>
    <t>Крохмалев Филипп</t>
  </si>
  <si>
    <t>гандикап 1 мин 15 с</t>
  </si>
  <si>
    <t>Петров Андрей</t>
  </si>
  <si>
    <t>Ж16</t>
  </si>
  <si>
    <t>Кружалова Антонина</t>
  </si>
  <si>
    <t>мужской этап</t>
  </si>
  <si>
    <t>Демидова Милана</t>
  </si>
  <si>
    <t>падение</t>
  </si>
  <si>
    <t>Загнойко Ольга</t>
  </si>
  <si>
    <t>мужской этап + остановки из-за боли в боку</t>
  </si>
  <si>
    <t>Музафарова Алиса</t>
  </si>
  <si>
    <t>М18</t>
  </si>
  <si>
    <t>Микрюков Ярослав</t>
  </si>
  <si>
    <t>гандикап 45 сек</t>
  </si>
  <si>
    <t>гандикап 30 сек</t>
  </si>
  <si>
    <t>время победителя на этапе, сек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</si>
</sst>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 Rounded MT Bold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" fontId="1" fillId="2" borderId="0" xfId="1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zoomScale="90" zoomScaleNormal="90" workbookViewId="0">
      <selection activeCell="G15" sqref="G15"/>
    </sheetView>
  </sheetViews>
  <sheetFormatPr defaultRowHeight="15" x14ac:dyDescent="0.25"/>
  <cols>
    <col min="1" max="1" width="6.85546875" customWidth="1"/>
    <col min="2" max="2" width="21.85546875" customWidth="1"/>
    <col min="3" max="3" width="6" style="8" customWidth="1"/>
    <col min="4" max="5" width="12.42578125" style="8" customWidth="1"/>
    <col min="6" max="6" width="14.28515625" style="8" customWidth="1"/>
    <col min="7" max="7" width="42.140625" customWidth="1"/>
    <col min="8" max="8" width="14.140625" style="8" customWidth="1"/>
    <col min="9" max="10" width="14.28515625" style="8" customWidth="1"/>
    <col min="11" max="12" width="12.7109375" style="8" customWidth="1"/>
    <col min="13" max="13" width="21.42578125" style="8" customWidth="1"/>
    <col min="14" max="14" width="10.85546875" customWidth="1"/>
    <col min="15" max="15" width="11.140625" customWidth="1"/>
    <col min="16" max="16" width="11.7109375" customWidth="1"/>
    <col min="17" max="17" width="10.7109375" customWidth="1"/>
    <col min="18" max="18" width="11.28515625" customWidth="1"/>
    <col min="19" max="19" width="27.7109375" customWidth="1"/>
  </cols>
  <sheetData>
    <row r="1" spans="1:19" ht="38.25" x14ac:dyDescent="0.25">
      <c r="D1" s="12" t="s">
        <v>0</v>
      </c>
      <c r="E1" s="12" t="s">
        <v>0</v>
      </c>
      <c r="F1" s="12" t="s">
        <v>0</v>
      </c>
      <c r="G1" s="12" t="s">
        <v>0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2" t="s">
        <v>2</v>
      </c>
      <c r="O1" s="2" t="s">
        <v>2</v>
      </c>
      <c r="P1" s="2" t="s">
        <v>2</v>
      </c>
      <c r="Q1" s="2" t="s">
        <v>2</v>
      </c>
      <c r="R1" s="2" t="s">
        <v>2</v>
      </c>
      <c r="S1" s="2" t="s">
        <v>2</v>
      </c>
    </row>
    <row r="2" spans="1:19" ht="48" customHeight="1" x14ac:dyDescent="0.25">
      <c r="D2" s="3" t="s">
        <v>30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  <c r="J2" s="5" t="s">
        <v>8</v>
      </c>
      <c r="K2" s="4" t="s">
        <v>4</v>
      </c>
      <c r="L2" s="5" t="s">
        <v>9</v>
      </c>
      <c r="M2" s="4" t="s">
        <v>5</v>
      </c>
      <c r="N2" s="6" t="s">
        <v>6</v>
      </c>
      <c r="O2" s="6" t="s">
        <v>7</v>
      </c>
      <c r="P2" s="7" t="s">
        <v>8</v>
      </c>
      <c r="Q2" s="6" t="s">
        <v>4</v>
      </c>
      <c r="R2" s="7" t="s">
        <v>9</v>
      </c>
      <c r="S2" s="6" t="s">
        <v>5</v>
      </c>
    </row>
    <row r="3" spans="1:19" x14ac:dyDescent="0.25">
      <c r="A3" t="s">
        <v>10</v>
      </c>
      <c r="B3" t="s">
        <v>11</v>
      </c>
      <c r="C3" s="8">
        <v>2013</v>
      </c>
      <c r="D3" s="8">
        <f>9*60</f>
        <v>540</v>
      </c>
      <c r="E3" s="8">
        <f>10*60</f>
        <v>600</v>
      </c>
      <c r="F3" s="9">
        <f>(E3*100)/D3</f>
        <v>111.11111111111111</v>
      </c>
      <c r="G3" t="s">
        <v>12</v>
      </c>
      <c r="H3" s="8">
        <f>30*60+22</f>
        <v>1822</v>
      </c>
      <c r="I3" s="8">
        <f>51*60+43</f>
        <v>3103</v>
      </c>
      <c r="J3" s="8">
        <f>I3-60</f>
        <v>3043</v>
      </c>
      <c r="K3" s="10">
        <f>(I3*100)/H3</f>
        <v>170.30735455543359</v>
      </c>
      <c r="L3" s="10">
        <f>(J3*100)/H3</f>
        <v>167.01427003293085</v>
      </c>
      <c r="M3" s="11" t="s">
        <v>13</v>
      </c>
      <c r="N3" s="8">
        <f>14*60+2</f>
        <v>842</v>
      </c>
      <c r="O3" s="8">
        <f>17*60+22</f>
        <v>1042</v>
      </c>
      <c r="P3" s="8">
        <f t="shared" ref="P3:P9" si="0">O3-60</f>
        <v>982</v>
      </c>
      <c r="Q3" s="9">
        <f>(O3*100)/N3</f>
        <v>123.75296912114014</v>
      </c>
      <c r="R3" s="9">
        <f>(P3*100)/N3</f>
        <v>116.6270783847981</v>
      </c>
      <c r="S3" s="11" t="s">
        <v>13</v>
      </c>
    </row>
    <row r="4" spans="1:19" x14ac:dyDescent="0.25">
      <c r="A4" t="s">
        <v>14</v>
      </c>
      <c r="B4" t="s">
        <v>15</v>
      </c>
      <c r="C4" s="8">
        <v>2012</v>
      </c>
      <c r="D4" s="8">
        <f>8*60+14</f>
        <v>494</v>
      </c>
      <c r="E4" s="8">
        <f>9*60+37</f>
        <v>577</v>
      </c>
      <c r="F4" s="9">
        <f t="shared" ref="F4" si="1">(E4*100)/D4</f>
        <v>116.80161943319838</v>
      </c>
      <c r="H4" s="8">
        <f>28*60+3</f>
        <v>1683</v>
      </c>
      <c r="I4" s="8">
        <f>38*60+55</f>
        <v>2335</v>
      </c>
      <c r="J4" s="8">
        <f>I4-60</f>
        <v>2275</v>
      </c>
      <c r="K4" s="10">
        <f>(I4*100)/H4</f>
        <v>138.74034462269756</v>
      </c>
      <c r="L4" s="10">
        <f t="shared" ref="L4:L10" si="2">(J4*100)/H4</f>
        <v>135.17528223410577</v>
      </c>
      <c r="M4" s="11" t="s">
        <v>16</v>
      </c>
      <c r="N4" s="8">
        <f>12*60+47</f>
        <v>767</v>
      </c>
      <c r="O4" s="8">
        <f>16*60+53</f>
        <v>1013</v>
      </c>
      <c r="P4" s="8">
        <f t="shared" si="0"/>
        <v>953</v>
      </c>
      <c r="Q4" s="10">
        <f t="shared" ref="Q4:Q10" si="3">(O4*100)/N4</f>
        <v>132.07301173402868</v>
      </c>
      <c r="R4" s="10">
        <f t="shared" ref="R4:R10" si="4">(P4*100)/N4</f>
        <v>124.2503259452412</v>
      </c>
      <c r="S4" s="11" t="s">
        <v>13</v>
      </c>
    </row>
    <row r="5" spans="1:19" x14ac:dyDescent="0.25">
      <c r="A5" t="s">
        <v>14</v>
      </c>
      <c r="B5" t="s">
        <v>17</v>
      </c>
      <c r="C5" s="8">
        <v>2012</v>
      </c>
      <c r="D5" s="8">
        <f>8*60+30</f>
        <v>510</v>
      </c>
      <c r="E5" s="8">
        <f>60*10+41</f>
        <v>641</v>
      </c>
      <c r="F5" s="9">
        <f>(E5*100)/D5</f>
        <v>125.68627450980392</v>
      </c>
      <c r="H5" s="8">
        <f>28*60+3</f>
        <v>1683</v>
      </c>
      <c r="I5" s="8">
        <f>33*60+50</f>
        <v>2030</v>
      </c>
      <c r="J5" s="8">
        <f>I5-75</f>
        <v>1955</v>
      </c>
      <c r="K5" s="9">
        <f t="shared" ref="K5:K10" si="5">(I5*100)/H5</f>
        <v>120.61794414735591</v>
      </c>
      <c r="L5" s="9">
        <f t="shared" si="2"/>
        <v>116.16161616161617</v>
      </c>
      <c r="M5" s="11" t="s">
        <v>16</v>
      </c>
      <c r="N5" s="8">
        <f>12*60+47</f>
        <v>767</v>
      </c>
      <c r="O5" s="8">
        <f>15*60+56</f>
        <v>956</v>
      </c>
      <c r="P5" s="8">
        <f t="shared" si="0"/>
        <v>896</v>
      </c>
      <c r="Q5" s="9">
        <f t="shared" si="3"/>
        <v>124.64146023468058</v>
      </c>
      <c r="R5" s="9">
        <f t="shared" si="4"/>
        <v>116.81877444589308</v>
      </c>
      <c r="S5" s="11" t="s">
        <v>13</v>
      </c>
    </row>
    <row r="6" spans="1:19" x14ac:dyDescent="0.25">
      <c r="A6" t="s">
        <v>18</v>
      </c>
      <c r="B6" t="s">
        <v>19</v>
      </c>
      <c r="C6" s="8">
        <v>2011</v>
      </c>
      <c r="D6" s="8">
        <f>10*60+43</f>
        <v>643</v>
      </c>
      <c r="E6" s="8">
        <f>16*60+24</f>
        <v>984</v>
      </c>
      <c r="F6" s="10">
        <f t="shared" ref="F6:F10" si="6">(E6*100)/D6</f>
        <v>153.03265940902023</v>
      </c>
      <c r="G6" t="s">
        <v>20</v>
      </c>
      <c r="H6" s="8">
        <f>35*60+18</f>
        <v>2118</v>
      </c>
      <c r="I6" s="8">
        <f>54*60</f>
        <v>3240</v>
      </c>
      <c r="J6" s="8">
        <f>I6-60</f>
        <v>3180</v>
      </c>
      <c r="K6" s="10">
        <f t="shared" si="5"/>
        <v>152.97450424929178</v>
      </c>
      <c r="L6" s="10">
        <f t="shared" si="2"/>
        <v>150.14164305949009</v>
      </c>
      <c r="M6" s="11" t="s">
        <v>13</v>
      </c>
      <c r="N6" s="8">
        <f>18*60+49</f>
        <v>1129</v>
      </c>
      <c r="O6" s="8">
        <f>24*60</f>
        <v>1440</v>
      </c>
      <c r="P6" s="8">
        <f t="shared" si="0"/>
        <v>1380</v>
      </c>
      <c r="Q6" s="9">
        <f t="shared" si="3"/>
        <v>127.54650132860939</v>
      </c>
      <c r="R6" s="9">
        <f t="shared" si="4"/>
        <v>122.23206377325066</v>
      </c>
      <c r="S6" s="11" t="s">
        <v>13</v>
      </c>
    </row>
    <row r="7" spans="1:19" x14ac:dyDescent="0.25">
      <c r="A7" t="s">
        <v>18</v>
      </c>
      <c r="B7" t="s">
        <v>21</v>
      </c>
      <c r="C7" s="8">
        <v>2011</v>
      </c>
      <c r="D7" s="8">
        <f>13*60+15</f>
        <v>795</v>
      </c>
      <c r="E7" s="8">
        <f>15*60+44</f>
        <v>944</v>
      </c>
      <c r="F7" s="9">
        <f t="shared" si="6"/>
        <v>118.74213836477988</v>
      </c>
      <c r="G7" t="s">
        <v>22</v>
      </c>
      <c r="H7" s="8">
        <f t="shared" ref="H7:H9" si="7">35*60+18</f>
        <v>2118</v>
      </c>
      <c r="I7" s="8">
        <f>50*60+39</f>
        <v>3039</v>
      </c>
      <c r="J7" s="8">
        <f>I7-60</f>
        <v>2979</v>
      </c>
      <c r="K7" s="10">
        <f t="shared" si="5"/>
        <v>143.48441926345609</v>
      </c>
      <c r="L7" s="10">
        <f t="shared" si="2"/>
        <v>140.6515580736544</v>
      </c>
      <c r="M7" s="11" t="s">
        <v>13</v>
      </c>
      <c r="N7" s="8">
        <f t="shared" ref="N7:N9" si="8">18*60+49</f>
        <v>1129</v>
      </c>
      <c r="O7" s="8">
        <f>25*60+25</f>
        <v>1525</v>
      </c>
      <c r="P7" s="8">
        <f t="shared" si="0"/>
        <v>1465</v>
      </c>
      <c r="Q7" s="10">
        <f t="shared" si="3"/>
        <v>135.07528786536759</v>
      </c>
      <c r="R7" s="10">
        <f t="shared" si="4"/>
        <v>129.76085031000886</v>
      </c>
      <c r="S7" s="11" t="s">
        <v>13</v>
      </c>
    </row>
    <row r="8" spans="1:19" x14ac:dyDescent="0.25">
      <c r="A8" t="s">
        <v>18</v>
      </c>
      <c r="B8" t="s">
        <v>23</v>
      </c>
      <c r="C8" s="8">
        <v>2010</v>
      </c>
      <c r="D8" s="8">
        <f>8*60+11</f>
        <v>491</v>
      </c>
      <c r="E8" s="8">
        <f>16*60+42</f>
        <v>1002</v>
      </c>
      <c r="F8" s="10">
        <f t="shared" si="6"/>
        <v>204.07331975560081</v>
      </c>
      <c r="G8" t="s">
        <v>24</v>
      </c>
      <c r="H8" s="8">
        <f t="shared" si="7"/>
        <v>2118</v>
      </c>
      <c r="I8" s="8">
        <f>50*60+28</f>
        <v>3028</v>
      </c>
      <c r="J8" s="8">
        <f>I8-60</f>
        <v>2968</v>
      </c>
      <c r="K8" s="10">
        <f t="shared" si="5"/>
        <v>142.9650613786591</v>
      </c>
      <c r="L8" s="10">
        <f t="shared" si="2"/>
        <v>140.13220018885741</v>
      </c>
      <c r="M8" s="11" t="s">
        <v>13</v>
      </c>
      <c r="N8" s="8">
        <f t="shared" si="8"/>
        <v>1129</v>
      </c>
      <c r="O8" s="8">
        <f>22*60+5</f>
        <v>1325</v>
      </c>
      <c r="P8" s="8">
        <f t="shared" si="0"/>
        <v>1265</v>
      </c>
      <c r="Q8" s="9">
        <f t="shared" si="3"/>
        <v>117.36049601417183</v>
      </c>
      <c r="R8" s="9">
        <f t="shared" si="4"/>
        <v>112.04605845881311</v>
      </c>
      <c r="S8" s="11" t="s">
        <v>13</v>
      </c>
    </row>
    <row r="9" spans="1:19" x14ac:dyDescent="0.25">
      <c r="A9" t="s">
        <v>18</v>
      </c>
      <c r="B9" t="s">
        <v>25</v>
      </c>
      <c r="C9" s="8">
        <v>2010</v>
      </c>
      <c r="D9" s="8">
        <f>9*60+22</f>
        <v>562</v>
      </c>
      <c r="E9" s="8">
        <f>15*60+50</f>
        <v>950</v>
      </c>
      <c r="F9" s="10">
        <f t="shared" si="6"/>
        <v>169.03914590747331</v>
      </c>
      <c r="H9" s="8">
        <f t="shared" si="7"/>
        <v>2118</v>
      </c>
      <c r="I9" s="8">
        <f>44*60+26</f>
        <v>2666</v>
      </c>
      <c r="J9" s="8">
        <f>I9-60</f>
        <v>2606</v>
      </c>
      <c r="K9" s="9">
        <f t="shared" si="5"/>
        <v>125.87346553352219</v>
      </c>
      <c r="L9" s="9">
        <f t="shared" si="2"/>
        <v>123.04060434372049</v>
      </c>
      <c r="M9" s="11" t="s">
        <v>13</v>
      </c>
      <c r="N9" s="8">
        <f t="shared" si="8"/>
        <v>1129</v>
      </c>
      <c r="O9" s="8">
        <f>23*60+12</f>
        <v>1392</v>
      </c>
      <c r="P9" s="8">
        <f t="shared" si="0"/>
        <v>1332</v>
      </c>
      <c r="Q9" s="9">
        <f t="shared" si="3"/>
        <v>123.29495128432241</v>
      </c>
      <c r="R9" s="9">
        <f t="shared" si="4"/>
        <v>117.98051372896369</v>
      </c>
      <c r="S9" s="11" t="s">
        <v>13</v>
      </c>
    </row>
    <row r="10" spans="1:19" x14ac:dyDescent="0.25">
      <c r="A10" t="s">
        <v>26</v>
      </c>
      <c r="B10" t="s">
        <v>27</v>
      </c>
      <c r="C10" s="8">
        <v>2008</v>
      </c>
      <c r="D10" s="8">
        <f>12*60+24</f>
        <v>744</v>
      </c>
      <c r="E10" s="8">
        <f>14*60+33</f>
        <v>873</v>
      </c>
      <c r="F10" s="9">
        <f t="shared" si="6"/>
        <v>117.33870967741936</v>
      </c>
      <c r="H10" s="8">
        <f>36*60+13</f>
        <v>2173</v>
      </c>
      <c r="I10" s="8">
        <f>42*60+18</f>
        <v>2538</v>
      </c>
      <c r="J10" s="8">
        <f>I10-60</f>
        <v>2478</v>
      </c>
      <c r="K10" s="9">
        <f t="shared" si="5"/>
        <v>116.79705476300046</v>
      </c>
      <c r="L10" s="9">
        <f t="shared" si="2"/>
        <v>114.03589507593189</v>
      </c>
      <c r="M10" s="11" t="s">
        <v>28</v>
      </c>
      <c r="N10" s="8">
        <f>20*60+18</f>
        <v>1218</v>
      </c>
      <c r="O10" s="8">
        <f>23*60+59</f>
        <v>1439</v>
      </c>
      <c r="P10" s="8">
        <f>O10-30</f>
        <v>1409</v>
      </c>
      <c r="Q10" s="9">
        <f t="shared" si="3"/>
        <v>118.14449917898193</v>
      </c>
      <c r="R10" s="9">
        <f t="shared" si="4"/>
        <v>115.68144499178982</v>
      </c>
      <c r="S10" s="11" t="s">
        <v>29</v>
      </c>
    </row>
  </sheetData>
  <pageMargins left="0.7" right="0.7" top="0.75" bottom="0.75" header="0.3" footer="0.3"/>
  <pageSetup paperSize="9" orientation="portrait" horizontalDpi="0" verticalDpi="0" r:id="rId1"/>
  <ignoredErrors>
    <ignoredError sqref="J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ПР Ульяновск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2026-11-06T13:15:12Z</dcterms:created>
  <dcterms:modified xsi:type="dcterms:W3CDTF">2026-11-06T13:23:32Z</dcterms:modified>
</cp:coreProperties>
</file>